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vi DBS\Desktop\DBS Sanskarnagar\www.GruhSaathi.com\"/>
    </mc:Choice>
  </mc:AlternateContent>
  <bookViews>
    <workbookView xWindow="0" yWindow="0" windowWidth="20490" windowHeight="7650"/>
  </bookViews>
  <sheets>
    <sheet name="GS Budget &amp; Cashflow" sheetId="1" r:id="rId1"/>
    <sheet name="Online Portal related" sheetId="2" r:id="rId2"/>
  </sheets>
  <definedNames>
    <definedName name="_xlnm.Print_Area" localSheetId="0">'GS Budget &amp; Cashflow'!$A$1:$Q$29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1" l="1"/>
  <c r="P27" i="1"/>
  <c r="O27" i="1"/>
  <c r="N27" i="1"/>
  <c r="M27" i="1"/>
  <c r="L27" i="1"/>
  <c r="K27" i="1"/>
  <c r="J27" i="1"/>
  <c r="I27" i="1"/>
  <c r="Q26" i="1"/>
  <c r="P26" i="1"/>
  <c r="O26" i="1"/>
  <c r="N26" i="1"/>
  <c r="M26" i="1"/>
  <c r="L26" i="1"/>
  <c r="K26" i="1"/>
  <c r="J26" i="1"/>
  <c r="I26" i="1"/>
  <c r="H26" i="1"/>
  <c r="Q25" i="1"/>
  <c r="P25" i="1"/>
  <c r="O25" i="1"/>
  <c r="N25" i="1"/>
  <c r="M25" i="1"/>
  <c r="L25" i="1"/>
  <c r="K25" i="1"/>
  <c r="J25" i="1"/>
  <c r="I25" i="1"/>
  <c r="H25" i="1"/>
  <c r="G22" i="1"/>
  <c r="H22" i="1"/>
  <c r="I22" i="1"/>
  <c r="J22" i="1"/>
  <c r="K22" i="1"/>
  <c r="L22" i="1"/>
  <c r="M22" i="1"/>
  <c r="N22" i="1"/>
  <c r="O22" i="1"/>
  <c r="P22" i="1"/>
  <c r="Q22" i="1"/>
  <c r="F22" i="1"/>
  <c r="Q23" i="1"/>
  <c r="P23" i="1"/>
  <c r="O23" i="1"/>
  <c r="N23" i="1"/>
  <c r="M23" i="1"/>
  <c r="L23" i="1"/>
  <c r="K23" i="1"/>
  <c r="J23" i="1"/>
  <c r="I23" i="1"/>
  <c r="Q17" i="1"/>
  <c r="Q14" i="1" s="1"/>
  <c r="P17" i="1"/>
  <c r="O17" i="1"/>
  <c r="N17" i="1"/>
  <c r="M17" i="1"/>
  <c r="L17" i="1"/>
  <c r="K17" i="1"/>
  <c r="N14" i="1"/>
  <c r="J17" i="1"/>
  <c r="J14" i="1"/>
  <c r="I17" i="1"/>
  <c r="K15" i="1"/>
  <c r="Q15" i="1"/>
  <c r="P15" i="1"/>
  <c r="O15" i="1"/>
  <c r="N15" i="1"/>
  <c r="M15" i="1"/>
  <c r="L15" i="1"/>
  <c r="J15" i="1"/>
  <c r="P14" i="1"/>
  <c r="O14" i="1"/>
  <c r="M14" i="1"/>
  <c r="L14" i="1"/>
  <c r="K14" i="1"/>
  <c r="I14" i="1"/>
  <c r="H14" i="1"/>
  <c r="G14" i="1"/>
  <c r="F14" i="1"/>
  <c r="E19" i="1"/>
  <c r="D17" i="1"/>
  <c r="D15" i="1"/>
  <c r="D14" i="1" s="1"/>
  <c r="E14" i="1" s="1"/>
  <c r="E16" i="1"/>
  <c r="E17" i="1"/>
  <c r="E18" i="1"/>
  <c r="E20" i="1"/>
  <c r="E21" i="1"/>
  <c r="E15" i="1"/>
  <c r="E5" i="1"/>
  <c r="E6" i="1"/>
  <c r="E7" i="1"/>
  <c r="E8" i="1"/>
  <c r="E9" i="1"/>
  <c r="E10" i="1"/>
  <c r="E11" i="1"/>
  <c r="E12" i="1"/>
  <c r="E13" i="1"/>
  <c r="E4" i="1"/>
  <c r="E28" i="1"/>
  <c r="E27" i="1"/>
  <c r="E26" i="1"/>
  <c r="E25" i="1"/>
  <c r="E24" i="1"/>
  <c r="E23" i="1"/>
  <c r="D23" i="1"/>
  <c r="D22" i="1"/>
  <c r="D27" i="1"/>
  <c r="D26" i="1"/>
  <c r="D24" i="1"/>
  <c r="D25" i="1"/>
  <c r="F3" i="1"/>
  <c r="G3" i="1"/>
  <c r="H3" i="1"/>
  <c r="I3" i="1"/>
  <c r="J3" i="1"/>
  <c r="K3" i="1"/>
  <c r="L3" i="1"/>
  <c r="M3" i="1"/>
  <c r="N3" i="1"/>
  <c r="O3" i="1"/>
  <c r="P3" i="1"/>
  <c r="Q3" i="1"/>
  <c r="D3" i="1"/>
  <c r="E3" i="1" s="1"/>
  <c r="E2" i="1" l="1"/>
  <c r="D2" i="1"/>
  <c r="D29" i="1" s="1"/>
  <c r="E29" i="1" s="1"/>
</calcChain>
</file>

<file path=xl/sharedStrings.xml><?xml version="1.0" encoding="utf-8"?>
<sst xmlns="http://schemas.openxmlformats.org/spreadsheetml/2006/main" count="87" uniqueCount="75">
  <si>
    <t>Media Studio &amp; Equipment</t>
  </si>
  <si>
    <t>Developer AES Consulting</t>
  </si>
  <si>
    <t>Developer Legal &amp; Approval Consulting</t>
  </si>
  <si>
    <t>Domain Names Registration &amp; Spaces</t>
  </si>
  <si>
    <t>Commission from Material Sourced for Developers</t>
  </si>
  <si>
    <t>Service Providers Channelising</t>
  </si>
  <si>
    <t>Certifications</t>
  </si>
  <si>
    <t>Website &amp; Portal Development</t>
  </si>
  <si>
    <t>Mobile App Development</t>
  </si>
  <si>
    <t>CRM Software Development</t>
  </si>
  <si>
    <t>Call Centre Setup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</si>
  <si>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</si>
  <si>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</si>
  <si>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</si>
  <si>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</si>
  <si>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</si>
  <si>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</si>
  <si>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</si>
  <si>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</si>
  <si>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</si>
  <si>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</si>
  <si>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</si>
  <si>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</si>
  <si>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Training, Travel &amp; Audit Costs</t>
  </si>
  <si>
    <t>Hiring Expenses</t>
  </si>
  <si>
    <t>A</t>
  </si>
  <si>
    <t>B</t>
  </si>
  <si>
    <t>C</t>
  </si>
  <si>
    <t>D</t>
  </si>
  <si>
    <t>E</t>
  </si>
  <si>
    <t>INDIRECT REVENUE</t>
  </si>
  <si>
    <t>TOTAL</t>
  </si>
  <si>
    <t>Salaries - Corporate &amp; Local Level</t>
  </si>
  <si>
    <t>CAPEX</t>
  </si>
  <si>
    <t>OPEX</t>
  </si>
  <si>
    <t>Assumptions</t>
  </si>
  <si>
    <r>
      <rPr>
        <b/>
        <sz val="11"/>
        <color theme="1"/>
        <rFont val="Calibri"/>
        <family val="2"/>
        <scheme val="minor"/>
      </rPr>
      <t>Events</t>
    </r>
    <r>
      <rPr>
        <sz val="11"/>
        <color theme="1"/>
        <rFont val="Calibri"/>
        <family val="2"/>
        <scheme val="minor"/>
      </rPr>
      <t xml:space="preserve"> - Rental, Stalls, Displays, F&amp;B, AV, Lighting, Transport, etc.</t>
    </r>
  </si>
  <si>
    <t>Very Initial Regional Level Publicity</t>
  </si>
  <si>
    <t>Initial Designing - Logo, Posters, etc.</t>
  </si>
  <si>
    <t>@ 27,000 Bookings @ 
Rs. 25,000/- per Booking</t>
  </si>
  <si>
    <t>Commissions &amp; Other Payouts</t>
  </si>
  <si>
    <t>National &amp; Regional Branding &amp; Publicity</t>
  </si>
  <si>
    <t>@ 100 Developers 
@ Rs. 5,00,000</t>
  </si>
  <si>
    <t>l.s.</t>
  </si>
  <si>
    <t>@ 20 Developers 
@ Rs. 2,00,000</t>
  </si>
  <si>
    <t>@ Rs. 1 Cr. Per Month</t>
  </si>
  <si>
    <t>%</t>
  </si>
  <si>
    <t>@ 30 Developers 
@ Rs. 20,00,000</t>
  </si>
  <si>
    <t>F</t>
  </si>
  <si>
    <t>DIRECT REVENUE (Customer Bookings)</t>
  </si>
  <si>
    <t>G</t>
  </si>
  <si>
    <t>TOTAL REVENUE (E+F)</t>
  </si>
  <si>
    <t>TOTAL EXPENSES (B+C)</t>
  </si>
  <si>
    <t>GROSS PROFIT (D-A)</t>
  </si>
  <si>
    <t>Per Event @ Rs. 8,00,000</t>
  </si>
  <si>
    <r>
      <rPr>
        <b/>
        <sz val="16"/>
        <color rgb="FFFFC000"/>
        <rFont val="Calibri"/>
        <family val="2"/>
        <scheme val="minor"/>
      </rPr>
      <t>www.GruhSaathi.com</t>
    </r>
    <r>
      <rPr>
        <b/>
        <sz val="14"/>
        <color theme="0"/>
        <rFont val="Calibri"/>
        <family val="2"/>
        <scheme val="minor"/>
      </rPr>
      <t xml:space="preserve"> BUDGET &amp; CASHFLOW</t>
    </r>
  </si>
  <si>
    <t>Services to Developers</t>
  </si>
  <si>
    <t>One Time</t>
  </si>
  <si>
    <t>Portal &amp; Software (IT) related Expenses</t>
  </si>
  <si>
    <t>15 Cities, 20 Persons at Each City, 8 Bookings per Month, 
@ Rs. 6000/- per Booking</t>
  </si>
  <si>
    <t>We want it very fast… can you manage</t>
  </si>
  <si>
    <t>What will be the Cost</t>
  </si>
  <si>
    <t>We acknowledge your expertise…</t>
  </si>
  <si>
    <t>We consider you On-board</t>
  </si>
  <si>
    <t>The nearest best looking portal, CRM and Mobile App we are looking at are…</t>
  </si>
  <si>
    <t>pls. don’t wanto you to reinvent the wheel</t>
  </si>
  <si>
    <t>How would ongoing (post development) expenses be managed.. What will they be to the tune of…</t>
  </si>
  <si>
    <t>We will consider you as the Project Lead.. And not simply a outsourced developer.. Is that fine and are you aligned</t>
  </si>
  <si>
    <t>Related to Budget</t>
  </si>
  <si>
    <t>More into depth of each activity across</t>
  </si>
  <si>
    <t>Projections are just assumptions… thay may / may not click</t>
  </si>
  <si>
    <t>One Time - already done</t>
  </si>
  <si>
    <t>Facilities Setup, Uniforms (T-Shirt, Caps)</t>
  </si>
  <si>
    <t>Pre-Operative Expenses - assumptions - listing with *</t>
  </si>
  <si>
    <t>Initial Operating Expenses - 6 months - 20 people at @ 50K per months - 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</si>
</sst>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[$₹-4009]\ * #,##0_ ;_ [$₹-4009]\ * \-#,##0_ ;_ [$₹-4009]\ * &quot;-&quot;??_ ;_ @_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6"/>
      <color rgb="FFFFC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0" fillId="2" borderId="1" xfId="0" applyNumberFormat="1" applyFont="1" applyFill="1" applyBorder="1" applyAlignment="1">
      <alignment vertical="center"/>
    </xf>
    <xf numFmtId="164" fontId="5" fillId="11" borderId="1" xfId="0" applyNumberFormat="1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4" fontId="4" fillId="6" borderId="1" xfId="0" applyNumberFormat="1" applyFont="1" applyFill="1" applyBorder="1" applyAlignment="1">
      <alignment vertical="center"/>
    </xf>
    <xf numFmtId="164" fontId="4" fillId="11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vertical="center"/>
    </xf>
    <xf numFmtId="0" fontId="1" fillId="7" borderId="1" xfId="0" quotePrefix="1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vertical="center"/>
    </xf>
    <xf numFmtId="0" fontId="0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0" fontId="2" fillId="0" borderId="1" xfId="1" applyNumberFormat="1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10" fontId="2" fillId="10" borderId="1" xfId="1" applyNumberFormat="1" applyFont="1" applyFill="1" applyBorder="1" applyAlignment="1">
      <alignment horizontal="center" vertical="center"/>
    </xf>
    <xf numFmtId="164" fontId="4" fillId="9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9" borderId="1" xfId="0" applyFont="1" applyFill="1" applyBorder="1" applyAlignment="1">
      <alignment horizontal="left"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7" fillId="4" borderId="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zoomScaleNormal="100" workbookViewId="0">
      <pane xSplit="2" ySplit="1" topLeftCell="C23" activePane="bottomRight" state="frozen"/>
      <selection pane="topRight" activeCell="C1" sqref="C1"/>
      <selection pane="bottomLeft" activeCell="A2" sqref="A2"/>
      <selection pane="bottomRight" activeCell="B31" sqref="B31"/>
    </sheetView>
  </sheetViews>
  <sheetFormatPr defaultColWidth="9" defaultRowHeight="15" x14ac:dyDescent="0.25"/>
  <cols>
    <col min="1" max="1" width="3" style="16" customWidth="1"/>
    <col min="2" max="2" width="51.85546875" style="14" customWidth="1"/>
    <col min="3" max="3" width="30.28515625" style="14" customWidth="1"/>
    <col min="4" max="4" width="20.140625" style="2" bestFit="1" customWidth="1"/>
    <col min="5" max="5" width="12.28515625" style="40" customWidth="1"/>
    <col min="6" max="6" width="14.85546875" style="14" customWidth="1"/>
    <col min="7" max="17" width="18.28515625" style="14" customWidth="1"/>
    <col min="18" max="16384" width="9" style="14"/>
  </cols>
  <sheetData>
    <row r="1" spans="1:17" s="1" customFormat="1" ht="33" customHeight="1" x14ac:dyDescent="0.25">
      <c r="A1" s="49" t="s">
        <v>55</v>
      </c>
      <c r="B1" s="49"/>
      <c r="C1" s="10" t="s">
        <v>35</v>
      </c>
      <c r="D1" s="31" t="s">
        <v>31</v>
      </c>
      <c r="E1" s="42" t="s">
        <v>46</v>
      </c>
      <c r="F1" s="9" t="s">
        <v>11</v>
      </c>
      <c r="G1" s="9" t="s">
        <v>12</v>
      </c>
      <c r="H1" s="9" t="s">
        <v>13</v>
      </c>
      <c r="I1" s="9" t="s">
        <v>14</v>
      </c>
      <c r="J1" s="9" t="s">
        <v>15</v>
      </c>
      <c r="K1" s="9" t="s">
        <v>16</v>
      </c>
      <c r="L1" s="9" t="s">
        <v>17</v>
      </c>
      <c r="M1" s="9" t="s">
        <v>18</v>
      </c>
      <c r="N1" s="9" t="s">
        <v>19</v>
      </c>
      <c r="O1" s="9" t="s">
        <v>20</v>
      </c>
      <c r="P1" s="9" t="s">
        <v>21</v>
      </c>
      <c r="Q1" s="9" t="s">
        <v>22</v>
      </c>
    </row>
    <row r="2" spans="1:17" s="45" customFormat="1" ht="33" customHeight="1" x14ac:dyDescent="0.25">
      <c r="A2" s="11" t="s">
        <v>25</v>
      </c>
      <c r="B2" s="46" t="s">
        <v>52</v>
      </c>
      <c r="C2" s="11"/>
      <c r="D2" s="44">
        <f>+D3+D14</f>
        <v>529078000</v>
      </c>
      <c r="E2" s="43">
        <f>+E3+E14</f>
        <v>0.66844977890082113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23" customFormat="1" ht="24.95" customHeight="1" x14ac:dyDescent="0.25">
      <c r="A3" s="3" t="s">
        <v>26</v>
      </c>
      <c r="B3" s="4" t="s">
        <v>33</v>
      </c>
      <c r="C3" s="4"/>
      <c r="D3" s="22">
        <f>SUM(D4:D12)</f>
        <v>12778000</v>
      </c>
      <c r="E3" s="43">
        <f>+E22*D3/D22</f>
        <v>1.614403032217309E-2</v>
      </c>
      <c r="F3" s="22">
        <f t="shared" ref="F3:Q3" si="0">SUM(F4:F12)</f>
        <v>188000</v>
      </c>
      <c r="G3" s="22">
        <f t="shared" si="0"/>
        <v>1035000</v>
      </c>
      <c r="H3" s="22">
        <f t="shared" si="0"/>
        <v>2850000</v>
      </c>
      <c r="I3" s="22">
        <f t="shared" si="0"/>
        <v>2100000</v>
      </c>
      <c r="J3" s="22">
        <f t="shared" si="0"/>
        <v>2000000</v>
      </c>
      <c r="K3" s="22">
        <f t="shared" si="0"/>
        <v>2000000</v>
      </c>
      <c r="L3" s="22">
        <f t="shared" si="0"/>
        <v>2000000</v>
      </c>
      <c r="M3" s="22">
        <f t="shared" si="0"/>
        <v>0</v>
      </c>
      <c r="N3" s="22">
        <f t="shared" si="0"/>
        <v>0</v>
      </c>
      <c r="O3" s="22">
        <f t="shared" si="0"/>
        <v>0</v>
      </c>
      <c r="P3" s="22">
        <f t="shared" si="0"/>
        <v>0</v>
      </c>
      <c r="Q3" s="22">
        <f t="shared" si="0"/>
        <v>0</v>
      </c>
    </row>
    <row r="4" spans="1:17" ht="21.95" customHeight="1" x14ac:dyDescent="0.25">
      <c r="A4" s="12">
        <v>1</v>
      </c>
      <c r="B4" s="13" t="s">
        <v>3</v>
      </c>
      <c r="C4" s="12" t="s">
        <v>71</v>
      </c>
      <c r="D4" s="32">
        <v>8000</v>
      </c>
      <c r="E4" s="41">
        <f t="shared" ref="E4:E13" si="1">+$E$22*D4/$D$22</f>
        <v>1.0107391029690461E-5</v>
      </c>
      <c r="F4" s="19">
        <v>3000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21.95" customHeight="1" x14ac:dyDescent="0.25">
      <c r="A5" s="12">
        <v>2</v>
      </c>
      <c r="B5" s="13" t="s">
        <v>7</v>
      </c>
      <c r="C5" s="12" t="s">
        <v>57</v>
      </c>
      <c r="D5" s="32">
        <v>150000</v>
      </c>
      <c r="E5" s="41">
        <f t="shared" si="1"/>
        <v>1.8951358180669615E-4</v>
      </c>
      <c r="F5" s="19">
        <v>75000</v>
      </c>
      <c r="G5" s="19">
        <v>75000</v>
      </c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21.95" customHeight="1" x14ac:dyDescent="0.25">
      <c r="A6" s="12">
        <v>3</v>
      </c>
      <c r="B6" s="13" t="s">
        <v>8</v>
      </c>
      <c r="C6" s="12" t="s">
        <v>57</v>
      </c>
      <c r="D6" s="32">
        <v>70000</v>
      </c>
      <c r="E6" s="41">
        <f t="shared" si="1"/>
        <v>8.8439671509791537E-5</v>
      </c>
      <c r="F6" s="19">
        <v>35000</v>
      </c>
      <c r="G6" s="19">
        <v>35000</v>
      </c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21.95" customHeight="1" x14ac:dyDescent="0.25">
      <c r="A7" s="12">
        <v>4</v>
      </c>
      <c r="B7" s="13" t="s">
        <v>9</v>
      </c>
      <c r="C7" s="12" t="s">
        <v>57</v>
      </c>
      <c r="D7" s="32">
        <v>150000</v>
      </c>
      <c r="E7" s="41">
        <f t="shared" si="1"/>
        <v>1.8951358180669615E-4</v>
      </c>
      <c r="F7" s="19">
        <v>75000</v>
      </c>
      <c r="G7" s="19">
        <v>75000</v>
      </c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ht="21.95" customHeight="1" x14ac:dyDescent="0.25">
      <c r="A8" s="12">
        <v>5</v>
      </c>
      <c r="B8" s="13" t="s">
        <v>10</v>
      </c>
      <c r="C8" s="12" t="s">
        <v>57</v>
      </c>
      <c r="D8" s="32">
        <v>500000</v>
      </c>
      <c r="E8" s="41">
        <f t="shared" si="1"/>
        <v>6.3171193935565378E-4</v>
      </c>
      <c r="F8" s="19"/>
      <c r="G8" s="19">
        <v>200000</v>
      </c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21.95" customHeight="1" x14ac:dyDescent="0.25">
      <c r="A9" s="12">
        <v>6</v>
      </c>
      <c r="B9" s="13" t="s">
        <v>37</v>
      </c>
      <c r="C9" s="12" t="s">
        <v>57</v>
      </c>
      <c r="D9" s="32">
        <v>10000000</v>
      </c>
      <c r="E9" s="41">
        <f t="shared" si="1"/>
        <v>1.2634238787113077E-2</v>
      </c>
      <c r="F9" s="19"/>
      <c r="G9" s="19"/>
      <c r="H9" s="19">
        <v>2000000</v>
      </c>
      <c r="I9" s="19">
        <v>2000000</v>
      </c>
      <c r="J9" s="19">
        <v>2000000</v>
      </c>
      <c r="K9" s="19">
        <v>2000000</v>
      </c>
      <c r="L9" s="19">
        <v>2000000</v>
      </c>
      <c r="M9" s="19"/>
      <c r="N9" s="19"/>
      <c r="O9" s="19"/>
      <c r="P9" s="19"/>
      <c r="Q9" s="19"/>
    </row>
    <row r="10" spans="1:17" ht="21.95" customHeight="1" x14ac:dyDescent="0.25">
      <c r="A10" s="12">
        <v>7</v>
      </c>
      <c r="B10" s="13" t="s">
        <v>0</v>
      </c>
      <c r="C10" s="12" t="s">
        <v>57</v>
      </c>
      <c r="D10" s="32">
        <v>1000000</v>
      </c>
      <c r="E10" s="41">
        <f t="shared" si="1"/>
        <v>1.2634238787113076E-3</v>
      </c>
      <c r="F10" s="19"/>
      <c r="G10" s="19">
        <v>400000</v>
      </c>
      <c r="H10" s="19">
        <v>400000</v>
      </c>
      <c r="I10" s="19"/>
      <c r="J10" s="19"/>
      <c r="K10" s="19"/>
      <c r="L10" s="19"/>
      <c r="M10" s="19"/>
      <c r="N10" s="19"/>
      <c r="O10" s="19"/>
      <c r="P10" s="19"/>
      <c r="Q10" s="19"/>
    </row>
    <row r="11" spans="1:17" ht="21.95" customHeight="1" x14ac:dyDescent="0.25">
      <c r="A11" s="12">
        <v>8</v>
      </c>
      <c r="B11" s="13" t="s">
        <v>6</v>
      </c>
      <c r="C11" s="12" t="s">
        <v>57</v>
      </c>
      <c r="D11" s="32">
        <v>400000</v>
      </c>
      <c r="E11" s="41">
        <f t="shared" si="1"/>
        <v>5.0536955148452307E-4</v>
      </c>
      <c r="F11" s="19"/>
      <c r="G11" s="19"/>
      <c r="H11" s="19">
        <v>200000</v>
      </c>
      <c r="I11" s="19">
        <v>100000</v>
      </c>
      <c r="J11" s="19"/>
      <c r="K11" s="19"/>
      <c r="L11" s="19"/>
      <c r="M11" s="19"/>
      <c r="N11" s="19"/>
      <c r="O11" s="19"/>
      <c r="P11" s="19"/>
      <c r="Q11" s="19"/>
    </row>
    <row r="12" spans="1:17" ht="21.95" customHeight="1" x14ac:dyDescent="0.25">
      <c r="A12" s="12">
        <v>9</v>
      </c>
      <c r="B12" s="13" t="s">
        <v>72</v>
      </c>
      <c r="C12" s="12" t="s">
        <v>57</v>
      </c>
      <c r="D12" s="32">
        <v>500000</v>
      </c>
      <c r="E12" s="41">
        <f t="shared" si="1"/>
        <v>6.3171193935565378E-4</v>
      </c>
      <c r="F12" s="19"/>
      <c r="G12" s="19">
        <v>250000</v>
      </c>
      <c r="H12" s="19">
        <v>250000</v>
      </c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21.95" customHeight="1" x14ac:dyDescent="0.25">
      <c r="A13" s="12">
        <v>10</v>
      </c>
      <c r="B13" s="13" t="s">
        <v>38</v>
      </c>
      <c r="C13" s="12" t="s">
        <v>57</v>
      </c>
      <c r="D13" s="32">
        <v>500000</v>
      </c>
      <c r="E13" s="41">
        <f t="shared" si="1"/>
        <v>6.3171193935565378E-4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s="24" customFormat="1" ht="24.95" customHeight="1" x14ac:dyDescent="0.25">
      <c r="A14" s="5" t="s">
        <v>27</v>
      </c>
      <c r="B14" s="6" t="s">
        <v>34</v>
      </c>
      <c r="C14" s="6"/>
      <c r="D14" s="28">
        <f>SUM(D15:D21)</f>
        <v>516300000</v>
      </c>
      <c r="E14" s="43">
        <f>+E22*D14/D22</f>
        <v>0.65230574857864809</v>
      </c>
      <c r="F14" s="28">
        <f t="shared" ref="F14:Q14" si="2">SUM(F15:F21)</f>
        <v>0</v>
      </c>
      <c r="G14" s="28">
        <f t="shared" si="2"/>
        <v>1600000</v>
      </c>
      <c r="H14" s="28">
        <f t="shared" si="2"/>
        <v>12950000</v>
      </c>
      <c r="I14" s="28">
        <f t="shared" si="2"/>
        <v>6010000</v>
      </c>
      <c r="J14" s="28">
        <f t="shared" si="2"/>
        <v>11670000</v>
      </c>
      <c r="K14" s="28">
        <f t="shared" si="2"/>
        <v>18690000</v>
      </c>
      <c r="L14" s="28">
        <f t="shared" si="2"/>
        <v>23910000</v>
      </c>
      <c r="M14" s="28">
        <f t="shared" si="2"/>
        <v>25830000</v>
      </c>
      <c r="N14" s="28">
        <f t="shared" si="2"/>
        <v>27250000</v>
      </c>
      <c r="O14" s="28">
        <f t="shared" si="2"/>
        <v>29170000</v>
      </c>
      <c r="P14" s="28">
        <f t="shared" si="2"/>
        <v>31090000</v>
      </c>
      <c r="Q14" s="28">
        <f t="shared" si="2"/>
        <v>32050000</v>
      </c>
    </row>
    <row r="15" spans="1:17" ht="34.5" customHeight="1" x14ac:dyDescent="0.25">
      <c r="A15" s="12">
        <v>1</v>
      </c>
      <c r="B15" s="15" t="s">
        <v>36</v>
      </c>
      <c r="C15" s="30" t="s">
        <v>54</v>
      </c>
      <c r="D15" s="32">
        <f>60*800000</f>
        <v>48000000</v>
      </c>
      <c r="E15" s="41">
        <f t="shared" ref="E15:E21" si="3">+$E$22*D15/$D$22</f>
        <v>6.0644346178142766E-2</v>
      </c>
      <c r="F15" s="19"/>
      <c r="G15" s="19"/>
      <c r="H15" s="19"/>
      <c r="I15" s="19">
        <v>800000</v>
      </c>
      <c r="J15" s="19">
        <f>800000*4</f>
        <v>3200000</v>
      </c>
      <c r="K15" s="19">
        <f>800000*7</f>
        <v>5600000</v>
      </c>
      <c r="L15" s="19">
        <f t="shared" ref="L15:Q15" si="4">800000*8</f>
        <v>6400000</v>
      </c>
      <c r="M15" s="19">
        <f t="shared" si="4"/>
        <v>6400000</v>
      </c>
      <c r="N15" s="19">
        <f t="shared" si="4"/>
        <v>6400000</v>
      </c>
      <c r="O15" s="19">
        <f t="shared" si="4"/>
        <v>6400000</v>
      </c>
      <c r="P15" s="19">
        <f t="shared" si="4"/>
        <v>6400000</v>
      </c>
      <c r="Q15" s="19">
        <f t="shared" si="4"/>
        <v>6400000</v>
      </c>
    </row>
    <row r="16" spans="1:17" ht="21.95" customHeight="1" x14ac:dyDescent="0.25">
      <c r="A16" s="12">
        <v>2</v>
      </c>
      <c r="B16" s="13" t="s">
        <v>32</v>
      </c>
      <c r="C16" s="36" t="s">
        <v>45</v>
      </c>
      <c r="D16" s="32">
        <v>120000000</v>
      </c>
      <c r="E16" s="41">
        <f t="shared" si="3"/>
        <v>0.15161086544535693</v>
      </c>
      <c r="F16" s="19"/>
      <c r="G16" s="19">
        <v>600000</v>
      </c>
      <c r="H16" s="19">
        <v>1200000</v>
      </c>
      <c r="I16" s="19">
        <v>2500000</v>
      </c>
      <c r="J16" s="19">
        <v>4800000</v>
      </c>
      <c r="K16" s="19">
        <v>7500000</v>
      </c>
      <c r="L16" s="19">
        <v>10000000</v>
      </c>
      <c r="M16" s="19">
        <v>10000000</v>
      </c>
      <c r="N16" s="19">
        <v>10000000</v>
      </c>
      <c r="O16" s="19">
        <v>10000000</v>
      </c>
      <c r="P16" s="19">
        <v>10000000</v>
      </c>
      <c r="Q16" s="19">
        <v>10000000</v>
      </c>
    </row>
    <row r="17" spans="1:17" ht="45" x14ac:dyDescent="0.25">
      <c r="A17" s="12">
        <v>3</v>
      </c>
      <c r="B17" s="13" t="s">
        <v>40</v>
      </c>
      <c r="C17" s="37" t="s">
        <v>59</v>
      </c>
      <c r="D17" s="32">
        <f>15*20*8*12*6000</f>
        <v>172800000</v>
      </c>
      <c r="E17" s="41">
        <f t="shared" si="3"/>
        <v>0.21831964624131395</v>
      </c>
      <c r="F17" s="19"/>
      <c r="G17" s="19"/>
      <c r="H17" s="19"/>
      <c r="I17" s="19">
        <f>6000*8*20</f>
        <v>960000</v>
      </c>
      <c r="J17" s="19">
        <f>6000*8*20*2</f>
        <v>1920000</v>
      </c>
      <c r="K17" s="19">
        <f>6000*8*20*4</f>
        <v>3840000</v>
      </c>
      <c r="L17" s="19">
        <f>6000*8*20*6</f>
        <v>5760000</v>
      </c>
      <c r="M17" s="19">
        <f>6000*8*20*8</f>
        <v>7680000</v>
      </c>
      <c r="N17" s="19">
        <f>6000*8*20*10</f>
        <v>9600000</v>
      </c>
      <c r="O17" s="19">
        <f>6000*8*20*12</f>
        <v>11520000</v>
      </c>
      <c r="P17" s="19">
        <f>6000*8*20*14</f>
        <v>13440000</v>
      </c>
      <c r="Q17" s="19">
        <f>6000*8*20*15</f>
        <v>14400000</v>
      </c>
    </row>
    <row r="18" spans="1:17" ht="21.95" customHeight="1" x14ac:dyDescent="0.25">
      <c r="A18" s="12">
        <v>4</v>
      </c>
      <c r="B18" s="13" t="s">
        <v>41</v>
      </c>
      <c r="C18" s="12" t="s">
        <v>43</v>
      </c>
      <c r="D18" s="32">
        <v>150000000</v>
      </c>
      <c r="E18" s="41">
        <f t="shared" si="3"/>
        <v>0.18951358180669614</v>
      </c>
      <c r="F18" s="19"/>
      <c r="G18" s="19"/>
      <c r="H18" s="19">
        <v>10000000</v>
      </c>
      <c r="I18" s="19"/>
      <c r="J18" s="19"/>
      <c r="K18" s="19"/>
      <c r="L18" s="19"/>
      <c r="M18" s="19"/>
      <c r="N18" s="19"/>
      <c r="O18" s="19"/>
      <c r="P18" s="19"/>
      <c r="Q18" s="19"/>
    </row>
    <row r="19" spans="1:17" ht="21.95" customHeight="1" x14ac:dyDescent="0.25">
      <c r="A19" s="12">
        <v>5</v>
      </c>
      <c r="B19" s="13" t="s">
        <v>58</v>
      </c>
      <c r="C19" s="12" t="s">
        <v>43</v>
      </c>
      <c r="D19" s="32">
        <v>2500000</v>
      </c>
      <c r="E19" s="41">
        <f t="shared" si="3"/>
        <v>3.1585596967782692E-3</v>
      </c>
      <c r="F19" s="19"/>
      <c r="G19" s="19"/>
      <c r="H19" s="19">
        <v>250000</v>
      </c>
      <c r="I19" s="19">
        <v>250000</v>
      </c>
      <c r="J19" s="19">
        <v>250000</v>
      </c>
      <c r="K19" s="19">
        <v>250000</v>
      </c>
      <c r="L19" s="19">
        <v>250000</v>
      </c>
      <c r="M19" s="19">
        <v>250000</v>
      </c>
      <c r="N19" s="19">
        <v>250000</v>
      </c>
      <c r="O19" s="19">
        <v>250000</v>
      </c>
      <c r="P19" s="19">
        <v>250000</v>
      </c>
      <c r="Q19" s="19">
        <v>250000</v>
      </c>
    </row>
    <row r="20" spans="1:17" ht="21.95" customHeight="1" x14ac:dyDescent="0.25">
      <c r="A20" s="12">
        <v>6</v>
      </c>
      <c r="B20" s="13" t="s">
        <v>23</v>
      </c>
      <c r="C20" s="12" t="s">
        <v>43</v>
      </c>
      <c r="D20" s="32">
        <v>20000000</v>
      </c>
      <c r="E20" s="41">
        <f t="shared" si="3"/>
        <v>2.5268477574226154E-2</v>
      </c>
      <c r="F20" s="19"/>
      <c r="G20" s="19">
        <v>1000000</v>
      </c>
      <c r="H20" s="19">
        <v>1000000</v>
      </c>
      <c r="I20" s="19">
        <v>1000000</v>
      </c>
      <c r="J20" s="19">
        <v>1000000</v>
      </c>
      <c r="K20" s="19">
        <v>1000000</v>
      </c>
      <c r="L20" s="19">
        <v>1000000</v>
      </c>
      <c r="M20" s="19">
        <v>1000000</v>
      </c>
      <c r="N20" s="19">
        <v>1000000</v>
      </c>
      <c r="O20" s="19">
        <v>1000000</v>
      </c>
      <c r="P20" s="19">
        <v>1000000</v>
      </c>
      <c r="Q20" s="19">
        <v>1000000</v>
      </c>
    </row>
    <row r="21" spans="1:17" ht="21.95" customHeight="1" x14ac:dyDescent="0.25">
      <c r="A21" s="12">
        <v>7</v>
      </c>
      <c r="B21" s="13" t="s">
        <v>24</v>
      </c>
      <c r="C21" s="12" t="s">
        <v>43</v>
      </c>
      <c r="D21" s="32">
        <v>3000000</v>
      </c>
      <c r="E21" s="41">
        <f t="shared" si="3"/>
        <v>3.7902716361339229E-3</v>
      </c>
      <c r="F21" s="19"/>
      <c r="G21" s="19"/>
      <c r="H21" s="19">
        <v>500000</v>
      </c>
      <c r="I21" s="19">
        <v>500000</v>
      </c>
      <c r="J21" s="19">
        <v>500000</v>
      </c>
      <c r="K21" s="19">
        <v>500000</v>
      </c>
      <c r="L21" s="19">
        <v>500000</v>
      </c>
      <c r="M21" s="19">
        <v>500000</v>
      </c>
      <c r="N21" s="19"/>
      <c r="O21" s="19"/>
      <c r="P21" s="19"/>
      <c r="Q21" s="19"/>
    </row>
    <row r="22" spans="1:17" s="2" customFormat="1" ht="48" customHeight="1" x14ac:dyDescent="0.25">
      <c r="A22" s="25" t="s">
        <v>28</v>
      </c>
      <c r="B22" s="7" t="s">
        <v>51</v>
      </c>
      <c r="C22" s="33"/>
      <c r="D22" s="34">
        <f>+D23+D24</f>
        <v>791500000</v>
      </c>
      <c r="E22" s="43">
        <v>1</v>
      </c>
      <c r="F22" s="34">
        <f>+F23+F24</f>
        <v>0</v>
      </c>
      <c r="G22" s="34">
        <f t="shared" ref="G22:Q22" si="5">+G23+G24</f>
        <v>0</v>
      </c>
      <c r="H22" s="34">
        <f t="shared" si="5"/>
        <v>0</v>
      </c>
      <c r="I22" s="34">
        <f t="shared" si="5"/>
        <v>4000000</v>
      </c>
      <c r="J22" s="34">
        <f t="shared" si="5"/>
        <v>8000000</v>
      </c>
      <c r="K22" s="34">
        <f t="shared" si="5"/>
        <v>16000000</v>
      </c>
      <c r="L22" s="34">
        <f t="shared" si="5"/>
        <v>24000000</v>
      </c>
      <c r="M22" s="34">
        <f t="shared" si="5"/>
        <v>32000000</v>
      </c>
      <c r="N22" s="34">
        <f t="shared" si="5"/>
        <v>40000000</v>
      </c>
      <c r="O22" s="34">
        <f t="shared" si="5"/>
        <v>48000000</v>
      </c>
      <c r="P22" s="34">
        <f t="shared" si="5"/>
        <v>56000000</v>
      </c>
      <c r="Q22" s="34">
        <f t="shared" si="5"/>
        <v>60000000</v>
      </c>
    </row>
    <row r="23" spans="1:17" ht="40.5" customHeight="1" x14ac:dyDescent="0.25">
      <c r="A23" s="26" t="s">
        <v>29</v>
      </c>
      <c r="B23" s="8" t="s">
        <v>49</v>
      </c>
      <c r="C23" s="39" t="s">
        <v>39</v>
      </c>
      <c r="D23" s="38">
        <f>27000*25000</f>
        <v>675000000</v>
      </c>
      <c r="E23" s="43">
        <f>+E22*D23/D22</f>
        <v>0.85281111813013266</v>
      </c>
      <c r="F23" s="38">
        <v>0</v>
      </c>
      <c r="G23" s="38">
        <v>0</v>
      </c>
      <c r="H23" s="38">
        <v>0</v>
      </c>
      <c r="I23" s="38">
        <f>25000*8*20</f>
        <v>4000000</v>
      </c>
      <c r="J23" s="38">
        <f>25000*8*20*2</f>
        <v>8000000</v>
      </c>
      <c r="K23" s="38">
        <f>25000*8*20*4</f>
        <v>16000000</v>
      </c>
      <c r="L23" s="38">
        <f>25000*8*20*6</f>
        <v>24000000</v>
      </c>
      <c r="M23" s="38">
        <f>25000*8*20*8</f>
        <v>32000000</v>
      </c>
      <c r="N23" s="38">
        <f>25000*8*20*10</f>
        <v>40000000</v>
      </c>
      <c r="O23" s="38">
        <f>25000*8*20*12</f>
        <v>48000000</v>
      </c>
      <c r="P23" s="38">
        <f>25000*8*20*14</f>
        <v>56000000</v>
      </c>
      <c r="Q23" s="38">
        <f>25000*8*20*15</f>
        <v>60000000</v>
      </c>
    </row>
    <row r="24" spans="1:17" ht="30" customHeight="1" x14ac:dyDescent="0.25">
      <c r="A24" s="26" t="s">
        <v>48</v>
      </c>
      <c r="B24" s="8" t="s">
        <v>30</v>
      </c>
      <c r="C24" s="26" t="s">
        <v>56</v>
      </c>
      <c r="D24" s="38">
        <f>SUM(D25:D28)</f>
        <v>116500000</v>
      </c>
      <c r="E24" s="43">
        <f>+E22*D24/D22</f>
        <v>0.14718888186986734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30" x14ac:dyDescent="0.25">
      <c r="A25" s="12">
        <v>1</v>
      </c>
      <c r="B25" s="13" t="s">
        <v>1</v>
      </c>
      <c r="C25" s="35" t="s">
        <v>42</v>
      </c>
      <c r="D25" s="32">
        <f>100*500000</f>
        <v>50000000</v>
      </c>
      <c r="E25" s="41">
        <f>+E22*D25/D22</f>
        <v>6.3171193935565376E-2</v>
      </c>
      <c r="F25" s="19"/>
      <c r="G25" s="19"/>
      <c r="H25" s="19">
        <f>500000*10</f>
        <v>5000000</v>
      </c>
      <c r="I25" s="19">
        <f t="shared" ref="I25:Q25" si="6">500000*10</f>
        <v>5000000</v>
      </c>
      <c r="J25" s="19">
        <f t="shared" si="6"/>
        <v>5000000</v>
      </c>
      <c r="K25" s="19">
        <f t="shared" si="6"/>
        <v>5000000</v>
      </c>
      <c r="L25" s="19">
        <f t="shared" si="6"/>
        <v>5000000</v>
      </c>
      <c r="M25" s="19">
        <f t="shared" si="6"/>
        <v>5000000</v>
      </c>
      <c r="N25" s="19">
        <f t="shared" si="6"/>
        <v>5000000</v>
      </c>
      <c r="O25" s="19">
        <f t="shared" si="6"/>
        <v>5000000</v>
      </c>
      <c r="P25" s="19">
        <f t="shared" si="6"/>
        <v>5000000</v>
      </c>
      <c r="Q25" s="19">
        <f t="shared" si="6"/>
        <v>5000000</v>
      </c>
    </row>
    <row r="26" spans="1:17" ht="30" x14ac:dyDescent="0.25">
      <c r="A26" s="12">
        <v>2</v>
      </c>
      <c r="B26" s="13" t="s">
        <v>2</v>
      </c>
      <c r="C26" s="35" t="s">
        <v>44</v>
      </c>
      <c r="D26" s="32">
        <f>20*200000</f>
        <v>4000000</v>
      </c>
      <c r="E26" s="41">
        <f>+E22*D26/D22</f>
        <v>5.0536955148452302E-3</v>
      </c>
      <c r="F26" s="19"/>
      <c r="G26" s="19"/>
      <c r="H26" s="19">
        <f>200000*2</f>
        <v>400000</v>
      </c>
      <c r="I26" s="19">
        <f t="shared" ref="I26:Q26" si="7">200000*2</f>
        <v>400000</v>
      </c>
      <c r="J26" s="19">
        <f t="shared" si="7"/>
        <v>400000</v>
      </c>
      <c r="K26" s="19">
        <f t="shared" si="7"/>
        <v>400000</v>
      </c>
      <c r="L26" s="19">
        <f t="shared" si="7"/>
        <v>400000</v>
      </c>
      <c r="M26" s="19">
        <f t="shared" si="7"/>
        <v>400000</v>
      </c>
      <c r="N26" s="19">
        <f t="shared" si="7"/>
        <v>400000</v>
      </c>
      <c r="O26" s="19">
        <f t="shared" si="7"/>
        <v>400000</v>
      </c>
      <c r="P26" s="19">
        <f t="shared" si="7"/>
        <v>400000</v>
      </c>
      <c r="Q26" s="19">
        <f t="shared" si="7"/>
        <v>400000</v>
      </c>
    </row>
    <row r="27" spans="1:17" ht="30" x14ac:dyDescent="0.25">
      <c r="A27" s="12">
        <v>3</v>
      </c>
      <c r="B27" s="13" t="s">
        <v>4</v>
      </c>
      <c r="C27" s="35" t="s">
        <v>47</v>
      </c>
      <c r="D27" s="32">
        <f>30*2000000</f>
        <v>60000000</v>
      </c>
      <c r="E27" s="41">
        <f>+E22*D27/D22</f>
        <v>7.5805432722678465E-2</v>
      </c>
      <c r="F27" s="19"/>
      <c r="G27" s="19"/>
      <c r="H27" s="19"/>
      <c r="I27" s="19">
        <f>2*2000000</f>
        <v>4000000</v>
      </c>
      <c r="J27" s="19">
        <f t="shared" ref="J27:Q27" si="8">2*2000000</f>
        <v>4000000</v>
      </c>
      <c r="K27" s="19">
        <f t="shared" si="8"/>
        <v>4000000</v>
      </c>
      <c r="L27" s="19">
        <f t="shared" si="8"/>
        <v>4000000</v>
      </c>
      <c r="M27" s="19">
        <f t="shared" si="8"/>
        <v>4000000</v>
      </c>
      <c r="N27" s="19">
        <f t="shared" si="8"/>
        <v>4000000</v>
      </c>
      <c r="O27" s="19">
        <f t="shared" si="8"/>
        <v>4000000</v>
      </c>
      <c r="P27" s="19">
        <f t="shared" si="8"/>
        <v>4000000</v>
      </c>
      <c r="Q27" s="19">
        <f t="shared" si="8"/>
        <v>4000000</v>
      </c>
    </row>
    <row r="28" spans="1:17" ht="21.95" customHeight="1" x14ac:dyDescent="0.25">
      <c r="A28" s="12">
        <v>4</v>
      </c>
      <c r="B28" s="13" t="s">
        <v>5</v>
      </c>
      <c r="C28" s="35" t="s">
        <v>43</v>
      </c>
      <c r="D28" s="32">
        <v>2500000</v>
      </c>
      <c r="E28" s="41">
        <f>+D28*E22/D22</f>
        <v>3.1585596967782692E-3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s="27" customFormat="1" ht="39" customHeight="1" x14ac:dyDescent="0.25">
      <c r="A29" s="17" t="s">
        <v>50</v>
      </c>
      <c r="B29" s="18" t="s">
        <v>53</v>
      </c>
      <c r="C29" s="18"/>
      <c r="D29" s="29">
        <f>+D22-D2</f>
        <v>262422000</v>
      </c>
      <c r="E29" s="43">
        <f>+E22*D29/D22</f>
        <v>0.33155022109917875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1" spans="1:17" x14ac:dyDescent="0.25">
      <c r="B31" s="48" t="s">
        <v>73</v>
      </c>
    </row>
    <row r="32" spans="1:17" x14ac:dyDescent="0.25">
      <c r="B32" s="48" t="s">
        <v>74</v>
      </c>
    </row>
  </sheetData>
  <mergeCells count="1">
    <mergeCell ref="A1:B1"/>
  </mergeCells>
  <pageMargins left="0.25" right="0.25" top="0.96" bottom="0.41" header="0.3" footer="0.3"/>
  <pageSetup paperSize="9" scale="49" orientation="landscape" verticalDpi="0" r:id="rId1"/>
  <ignoredErrors>
    <ignoredError sqref="E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I17" sqref="I17"/>
    </sheetView>
  </sheetViews>
  <sheetFormatPr defaultRowHeight="15" x14ac:dyDescent="0.25"/>
  <sheetData>
    <row r="1" spans="1:1" x14ac:dyDescent="0.25">
      <c r="A1" t="s">
        <v>62</v>
      </c>
    </row>
    <row r="2" spans="1:1" x14ac:dyDescent="0.25">
      <c r="A2" t="s">
        <v>61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60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11" spans="1:1" x14ac:dyDescent="0.25">
      <c r="A11" s="47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GS Budget &amp; Cashflow</vt:lpstr>
      <vt:lpstr>Online Portal related</vt:lpstr>
      <vt:lpstr>'GS Budget &amp; Cashflow'!Print_Area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 DBS</dc:creator>
  <cp:lastModifiedBy>Ravi DBS</cp:lastModifiedBy>
  <cp:lastPrinted>2016-10-07T07:42:54Z</cp:lastPrinted>
  <dcterms:created xsi:type="dcterms:W3CDTF">2016-10-05T13:15:21Z</dcterms:created>
  <dcterms:modified xsi:type="dcterms:W3CDTF">2016-11-22T09:54:25Z</dcterms:modified>
</cp:coreProperties>
</file>